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armmd0-my.sharepoint.com/personal/kempton_presley_pharmmd_com/Documents/Desktop/Kempton/PPE PTO/"/>
    </mc:Choice>
  </mc:AlternateContent>
  <xr:revisionPtr revIDLastSave="1" documentId="8_{3D9AACBE-B173-406B-BFE0-ECDF44B39FB0}" xr6:coauthVersionLast="44" xr6:coauthVersionMax="44" xr10:uidLastSave="{2BB602DD-B1A7-4D42-A218-0D51D6BF1A49}"/>
  <bookViews>
    <workbookView xWindow="-108" yWindow="-108" windowWidth="23256" windowHeight="12576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4" i="1" l="1"/>
  <c r="D88" i="1" l="1"/>
  <c r="D63" i="1"/>
  <c r="B70" i="1"/>
  <c r="F19" i="1"/>
  <c r="E63" i="1" l="1"/>
  <c r="D94" i="1"/>
  <c r="D95" i="1" s="1"/>
  <c r="E16" i="1"/>
  <c r="E17" i="1"/>
  <c r="E18" i="1"/>
  <c r="E19" i="1"/>
  <c r="E24" i="1"/>
  <c r="E30" i="1"/>
  <c r="E33" i="1"/>
  <c r="E35" i="1"/>
  <c r="E38" i="1"/>
  <c r="E39" i="1"/>
  <c r="E53" i="1"/>
  <c r="E69" i="1"/>
  <c r="E72" i="1"/>
  <c r="E73" i="1"/>
  <c r="E76" i="1"/>
  <c r="E91" i="1"/>
  <c r="E13" i="1"/>
  <c r="E12" i="1"/>
  <c r="D51" i="1"/>
  <c r="D40" i="1"/>
  <c r="E40" i="1" s="1"/>
  <c r="F40" i="1"/>
  <c r="C20" i="1" l="1"/>
  <c r="C93" i="1"/>
  <c r="E93" i="1" s="1"/>
  <c r="C92" i="1"/>
  <c r="C87" i="1"/>
  <c r="E87" i="1" s="1"/>
  <c r="C86" i="1"/>
  <c r="E86" i="1" s="1"/>
  <c r="C85" i="1"/>
  <c r="E85" i="1" s="1"/>
  <c r="C84" i="1"/>
  <c r="E84" i="1" s="1"/>
  <c r="C83" i="1"/>
  <c r="E83" i="1" s="1"/>
  <c r="C82" i="1"/>
  <c r="E82" i="1" s="1"/>
  <c r="C81" i="1"/>
  <c r="E81" i="1" s="1"/>
  <c r="C80" i="1"/>
  <c r="E80" i="1" s="1"/>
  <c r="C79" i="1"/>
  <c r="E79" i="1" s="1"/>
  <c r="C78" i="1"/>
  <c r="E78" i="1" s="1"/>
  <c r="C77" i="1"/>
  <c r="E77" i="1" s="1"/>
  <c r="D75" i="1"/>
  <c r="E75" i="1" s="1"/>
  <c r="C74" i="1"/>
  <c r="E74" i="1" s="1"/>
  <c r="F73" i="1"/>
  <c r="F72" i="1"/>
  <c r="C70" i="1"/>
  <c r="E70" i="1" s="1"/>
  <c r="F69" i="1"/>
  <c r="C68" i="1"/>
  <c r="E68" i="1" s="1"/>
  <c r="C67" i="1"/>
  <c r="E67" i="1" s="1"/>
  <c r="C66" i="1"/>
  <c r="E66" i="1" s="1"/>
  <c r="F65" i="1"/>
  <c r="D65" i="1"/>
  <c r="C64" i="1"/>
  <c r="E64" i="1" s="1"/>
  <c r="F63" i="1"/>
  <c r="C62" i="1"/>
  <c r="E62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F52" i="1"/>
  <c r="D52" i="1"/>
  <c r="E52" i="1" s="1"/>
  <c r="C51" i="1"/>
  <c r="E51" i="1" s="1"/>
  <c r="C50" i="1"/>
  <c r="E50" i="1" s="1"/>
  <c r="F49" i="1"/>
  <c r="D49" i="1"/>
  <c r="D61" i="1" s="1"/>
  <c r="C47" i="1"/>
  <c r="E47" i="1" s="1"/>
  <c r="C46" i="1"/>
  <c r="E46" i="1" s="1"/>
  <c r="C45" i="1"/>
  <c r="E45" i="1" s="1"/>
  <c r="C44" i="1"/>
  <c r="E44" i="1" s="1"/>
  <c r="C43" i="1"/>
  <c r="E43" i="1" s="1"/>
  <c r="C42" i="1"/>
  <c r="E42" i="1" s="1"/>
  <c r="C41" i="1"/>
  <c r="F37" i="1"/>
  <c r="D37" i="1"/>
  <c r="D48" i="1" s="1"/>
  <c r="C36" i="1"/>
  <c r="E36" i="1" s="1"/>
  <c r="C34" i="1"/>
  <c r="E34" i="1" s="1"/>
  <c r="C29" i="1"/>
  <c r="E29" i="1" s="1"/>
  <c r="C28" i="1"/>
  <c r="E28" i="1" s="1"/>
  <c r="C27" i="1"/>
  <c r="E27" i="1" s="1"/>
  <c r="C26" i="1"/>
  <c r="E26" i="1" s="1"/>
  <c r="C25" i="1"/>
  <c r="E25" i="1" s="1"/>
  <c r="C23" i="1"/>
  <c r="E23" i="1" s="1"/>
  <c r="C22" i="1"/>
  <c r="E22" i="1" s="1"/>
  <c r="C21" i="1"/>
  <c r="E21" i="1" s="1"/>
  <c r="F18" i="1"/>
  <c r="F17" i="1"/>
  <c r="F16" i="1"/>
  <c r="C15" i="1"/>
  <c r="E15" i="1" s="1"/>
  <c r="D14" i="1"/>
  <c r="E14" i="1" s="1"/>
  <c r="D89" i="1" l="1"/>
  <c r="E65" i="1"/>
  <c r="D71" i="1"/>
  <c r="E41" i="1"/>
  <c r="C48" i="1"/>
  <c r="C94" i="1"/>
  <c r="E94" i="1" s="1"/>
  <c r="E92" i="1"/>
  <c r="F20" i="1"/>
  <c r="E20" i="1"/>
  <c r="E49" i="1"/>
  <c r="E37" i="1"/>
  <c r="D31" i="1"/>
  <c r="F81" i="1"/>
  <c r="F78" i="1"/>
  <c r="F82" i="1"/>
  <c r="F80" i="1"/>
  <c r="F79" i="1"/>
  <c r="C71" i="1"/>
  <c r="C88" i="1"/>
  <c r="E88" i="1" s="1"/>
  <c r="C31" i="1"/>
  <c r="C32" i="1" s="1"/>
  <c r="C61" i="1"/>
  <c r="C95" i="1"/>
  <c r="E95" i="1" s="1"/>
  <c r="E61" i="1" l="1"/>
  <c r="E71" i="1"/>
  <c r="E48" i="1"/>
  <c r="D32" i="1"/>
  <c r="D90" i="1" s="1"/>
  <c r="E31" i="1"/>
  <c r="C89" i="1"/>
  <c r="C90" i="1" s="1"/>
  <c r="E89" i="1" l="1"/>
  <c r="E32" i="1"/>
  <c r="F6" i="1"/>
  <c r="F5" i="1"/>
  <c r="C96" i="1"/>
  <c r="F96" i="1" s="1"/>
  <c r="D96" i="1" l="1"/>
  <c r="E96" i="1" s="1"/>
  <c r="E90" i="1"/>
</calcChain>
</file>

<file path=xl/sharedStrings.xml><?xml version="1.0" encoding="utf-8"?>
<sst xmlns="http://schemas.openxmlformats.org/spreadsheetml/2006/main" count="135" uniqueCount="123">
  <si>
    <t>Income</t>
  </si>
  <si>
    <t xml:space="preserve">   Art Show</t>
  </si>
  <si>
    <t xml:space="preserve">   Book Fair Income</t>
  </si>
  <si>
    <t xml:space="preserve">   Contributions - Staff Gifts</t>
  </si>
  <si>
    <t xml:space="preserve">   Dine Out for PPE Income</t>
  </si>
  <si>
    <t xml:space="preserve">   Family Picnic</t>
  </si>
  <si>
    <t xml:space="preserve">   Gifts/Grants</t>
  </si>
  <si>
    <t xml:space="preserve">   Interest Income</t>
  </si>
  <si>
    <t xml:space="preserve">      Interest - Money Market</t>
  </si>
  <si>
    <t xml:space="preserve">   Total Interest Income</t>
  </si>
  <si>
    <t xml:space="preserve">   Invest Contributions</t>
  </si>
  <si>
    <t xml:space="preserve">   Kroger Amazon Income</t>
  </si>
  <si>
    <t xml:space="preserve">   School Supply Kit Income</t>
  </si>
  <si>
    <t xml:space="preserve">   Songwriters Event</t>
  </si>
  <si>
    <t xml:space="preserve">   Spring Event</t>
  </si>
  <si>
    <t xml:space="preserve">   Stores/Boxtops</t>
  </si>
  <si>
    <t xml:space="preserve">   Tiger Cup - Golf Event</t>
  </si>
  <si>
    <t xml:space="preserve">   Tiger Store (PP Store)</t>
  </si>
  <si>
    <t xml:space="preserve">   Used Book Sale</t>
  </si>
  <si>
    <t xml:space="preserve">   Yearbook Income</t>
  </si>
  <si>
    <t>Total Income</t>
  </si>
  <si>
    <t>Gross Profit</t>
  </si>
  <si>
    <t>Expenses</t>
  </si>
  <si>
    <t xml:space="preserve">   Ambassador</t>
  </si>
  <si>
    <t xml:space="preserve">   ask my accountant</t>
  </si>
  <si>
    <t xml:space="preserve">   Directory Expense</t>
  </si>
  <si>
    <t xml:space="preserve">   Events &amp; Products Expenses</t>
  </si>
  <si>
    <t xml:space="preserve">      Book Fair Expense</t>
  </si>
  <si>
    <t xml:space="preserve">      Family Picnic</t>
  </si>
  <si>
    <t xml:space="preserve">      Invest Expense</t>
  </si>
  <si>
    <t xml:space="preserve">      Math/Science Events</t>
  </si>
  <si>
    <t xml:space="preserve">      Read-A-Thon Expense</t>
  </si>
  <si>
    <t xml:space="preserve">      Spring Fundraiser Expense</t>
  </si>
  <si>
    <t xml:space="preserve">      Tiger Cup - Golf Event</t>
  </si>
  <si>
    <t xml:space="preserve">      Tiger Store (PP Store)</t>
  </si>
  <si>
    <t xml:space="preserve">   Total Events &amp; Products Expenses</t>
  </si>
  <si>
    <t xml:space="preserve">   Other Expenses</t>
  </si>
  <si>
    <t xml:space="preserve">      Care Team Donations</t>
  </si>
  <si>
    <t xml:space="preserve">      Facilities/Playground Maint/Decor</t>
  </si>
  <si>
    <t xml:space="preserve">      First Day Fair</t>
  </si>
  <si>
    <t xml:space="preserve">      Golf Event</t>
  </si>
  <si>
    <t xml:space="preserve">      Grandparents Day</t>
  </si>
  <si>
    <t xml:space="preserve">      Hospitality Fund</t>
  </si>
  <si>
    <t xml:space="preserve">      New Families</t>
  </si>
  <si>
    <t xml:space="preserve">      Prep for school opening</t>
  </si>
  <si>
    <t xml:space="preserve">      Principal's Discretionary Fund</t>
  </si>
  <si>
    <t xml:space="preserve">      Subscriptions</t>
  </si>
  <si>
    <t xml:space="preserve">      Webpage Development &amp; Hosting</t>
  </si>
  <si>
    <t xml:space="preserve">   Total Other Expenses</t>
  </si>
  <si>
    <t xml:space="preserve">   Prof Development Exp - General</t>
  </si>
  <si>
    <t xml:space="preserve">   PTO Administrative Expenses</t>
  </si>
  <si>
    <t xml:space="preserve">      Audit/Tax Prep</t>
  </si>
  <si>
    <t xml:space="preserve">      Bank Charges</t>
  </si>
  <si>
    <t xml:space="preserve">      Banking/Ebanking Expense</t>
  </si>
  <si>
    <t xml:space="preserve">      Bookkeeper</t>
  </si>
  <si>
    <t xml:space="preserve">      Insurance</t>
  </si>
  <si>
    <t xml:space="preserve">      PayPal, Square and Stripe Fees</t>
  </si>
  <si>
    <t xml:space="preserve">      PTO Expenses</t>
  </si>
  <si>
    <t xml:space="preserve">   Total PTO Administrative Expenses</t>
  </si>
  <si>
    <t xml:space="preserve">   Purchases</t>
  </si>
  <si>
    <t xml:space="preserve">   Reconciliation Discrepancies</t>
  </si>
  <si>
    <t xml:space="preserve">   Salaries &amp; Related Expenses</t>
  </si>
  <si>
    <t xml:space="preserve">   Staff Gifts</t>
  </si>
  <si>
    <t xml:space="preserve">   Teacher Supply Expenses</t>
  </si>
  <si>
    <t xml:space="preserve">      Art</t>
  </si>
  <si>
    <t xml:space="preserve">      Classroom Paper</t>
  </si>
  <si>
    <t xml:space="preserve">      Copier Maintenance &amp; Supplies</t>
  </si>
  <si>
    <t xml:space="preserve">      Instructional Coach/LTDS</t>
  </si>
  <si>
    <t xml:space="preserve">      Interventionist</t>
  </si>
  <si>
    <t xml:space="preserve">      Library</t>
  </si>
  <si>
    <t xml:space="preserve">      Music</t>
  </si>
  <si>
    <t xml:space="preserve">      P. E./Field Day</t>
  </si>
  <si>
    <t xml:space="preserve">      Spanish Supplies</t>
  </si>
  <si>
    <t xml:space="preserve">      Teacher Supply Fund</t>
  </si>
  <si>
    <t xml:space="preserve">      Technology</t>
  </si>
  <si>
    <t xml:space="preserve">   Total Teacher Supply Expenses</t>
  </si>
  <si>
    <t>Total Expenses</t>
  </si>
  <si>
    <t>Net Operating Income</t>
  </si>
  <si>
    <t>Other Expenses</t>
  </si>
  <si>
    <t xml:space="preserve">   Field Trip T-Shirts</t>
  </si>
  <si>
    <t xml:space="preserve">   Kindergarten Tote Bags</t>
  </si>
  <si>
    <t>Total Other Expenses</t>
  </si>
  <si>
    <t>Net Other Income</t>
  </si>
  <si>
    <t>Net Income</t>
  </si>
  <si>
    <t>Percy Priest School PTO</t>
  </si>
  <si>
    <t>Note</t>
  </si>
  <si>
    <t>profit helps to fund art budget</t>
  </si>
  <si>
    <t>profit helps to fund library budget</t>
  </si>
  <si>
    <t xml:space="preserve"> </t>
  </si>
  <si>
    <t>pass through; remove from final</t>
  </si>
  <si>
    <t>expected to reach 1000 again</t>
  </si>
  <si>
    <t>Income Change</t>
  </si>
  <si>
    <t>Expense Change</t>
  </si>
  <si>
    <t>push to find a new opportunity</t>
  </si>
  <si>
    <t>reduced for new year</t>
  </si>
  <si>
    <t xml:space="preserve">      Art Show Expense</t>
  </si>
  <si>
    <t>New category</t>
  </si>
  <si>
    <t xml:space="preserve">      Big Green Fair Expense</t>
  </si>
  <si>
    <t>awaiting reimbursement request for prior</t>
  </si>
  <si>
    <t>remove</t>
  </si>
  <si>
    <t>potential reduction</t>
  </si>
  <si>
    <t xml:space="preserve"> reduction</t>
  </si>
  <si>
    <t>reallocate</t>
  </si>
  <si>
    <t xml:space="preserve"> increased per request</t>
  </si>
  <si>
    <t>YTD actuals will decrease due to fidelity folders allocation</t>
  </si>
  <si>
    <t>lowered. YTD actuals will increase due to fidelity folders allocation</t>
  </si>
  <si>
    <t>ytd actuals are high due to furniture</t>
  </si>
  <si>
    <t>adjusted to reflect slight price increase</t>
  </si>
  <si>
    <t xml:space="preserve">increased </t>
  </si>
  <si>
    <t>reflects 3%+3% compounded increase</t>
  </si>
  <si>
    <t>move down to reallocate</t>
  </si>
  <si>
    <t>$275 for 325 and all else the same</t>
  </si>
  <si>
    <t>review to determine singer amt</t>
  </si>
  <si>
    <t>figure out how to handle recorders next year</t>
  </si>
  <si>
    <t>lower budget by 1200 then offset by 1500 profit from art show. need to pull out 4900 frame cost for current spend</t>
  </si>
  <si>
    <t>recommended reduction</t>
  </si>
  <si>
    <t>could be profit or loss depending on volume</t>
  </si>
  <si>
    <t>CURRENT YEAR ACTUALS
(2019/20 Actuals YTD)</t>
  </si>
  <si>
    <t>CURRENT YEAR BUDGET
(2019/20 Budget)</t>
  </si>
  <si>
    <t xml:space="preserve">
NEXT YEAR BUDGET
(2020/21 Proposal)</t>
  </si>
  <si>
    <t>YEAR-OVER-YEAR 
COMPARISON
(20/21 - 19/20)</t>
  </si>
  <si>
    <t>Adjusted/Added</t>
  </si>
  <si>
    <t>Actuals YTD, Current Year Budget, Next Year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</si>
</sst>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10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9"/>
      <color rgb="FF000000"/>
      <name val="Arial"/>
      <family val="2"/>
    </font>
    <font>
      <i/>
      <sz val="8"/>
      <color indexed="8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44" fontId="0" fillId="0" borderId="0" xfId="0" applyNumberFormat="1"/>
    <xf numFmtId="0" fontId="5" fillId="0" borderId="0" xfId="0" applyFont="1"/>
    <xf numFmtId="0" fontId="0" fillId="2" borderId="0" xfId="0" applyFill="1"/>
    <xf numFmtId="0" fontId="2" fillId="3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0" fillId="0" borderId="0" xfId="0"/>
    <xf numFmtId="0" fontId="4" fillId="0" borderId="0" xfId="0" applyFont="1" applyAlignment="1">
      <alignment horizontal="center"/>
    </xf>
    <xf numFmtId="164" fontId="3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10" fontId="3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0" xfId="0" applyAlignment="1"/>
    <xf numFmtId="164" fontId="3" fillId="3" borderId="2" xfId="0" applyNumberFormat="1" applyFont="1" applyFill="1" applyBorder="1" applyAlignment="1">
      <alignment horizontal="right" wrapText="1"/>
    </xf>
    <xf numFmtId="164" fontId="3" fillId="2" borderId="2" xfId="0" applyNumberFormat="1" applyFont="1" applyFill="1" applyBorder="1" applyAlignment="1">
      <alignment horizontal="right" wrapText="1"/>
    </xf>
    <xf numFmtId="0" fontId="0" fillId="0" borderId="0" xfId="0" applyBorder="1"/>
    <xf numFmtId="10" fontId="2" fillId="0" borderId="2" xfId="0" applyNumberFormat="1" applyFont="1" applyBorder="1" applyAlignment="1">
      <alignment horizontal="right" wrapText="1"/>
    </xf>
    <xf numFmtId="10" fontId="2" fillId="0" borderId="5" xfId="0" applyNumberFormat="1" applyFont="1" applyBorder="1" applyAlignment="1">
      <alignment horizontal="right" wrapText="1"/>
    </xf>
    <xf numFmtId="164" fontId="3" fillId="4" borderId="2" xfId="0" applyNumberFormat="1" applyFont="1" applyFill="1" applyBorder="1" applyAlignment="1">
      <alignment horizontal="right" wrapText="1"/>
    </xf>
    <xf numFmtId="8" fontId="8" fillId="2" borderId="2" xfId="0" applyNumberFormat="1" applyFont="1" applyFill="1" applyBorder="1"/>
    <xf numFmtId="8" fontId="8" fillId="3" borderId="2" xfId="0" applyNumberFormat="1" applyFont="1" applyFill="1" applyBorder="1"/>
    <xf numFmtId="8" fontId="8" fillId="0" borderId="2" xfId="0" applyNumberFormat="1" applyFont="1" applyBorder="1"/>
    <xf numFmtId="8" fontId="8" fillId="0" borderId="5" xfId="0" applyNumberFormat="1" applyFont="1" applyBorder="1"/>
    <xf numFmtId="0" fontId="3" fillId="0" borderId="0" xfId="0" applyFont="1" applyAlignment="1"/>
    <xf numFmtId="0" fontId="0" fillId="0" borderId="0" xfId="0" applyFill="1"/>
    <xf numFmtId="0" fontId="0" fillId="0" borderId="0" xfId="0" applyFill="1" applyBorder="1"/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wrapText="1"/>
    </xf>
    <xf numFmtId="164" fontId="3" fillId="0" borderId="2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workbookViewId="0">
      <pane ySplit="9" topLeftCell="A10" activePane="bottomLeft" state="frozen"/>
      <selection pane="bottomLeft" activeCell="D76" sqref="D76"/>
    </sheetView>
  </sheetViews>
  <sheetFormatPr defaultRowHeight="15" x14ac:dyDescent="0.25"/>
  <cols>
    <col min="1" max="1" width="34.28515625" customWidth="1"/>
    <col min="2" max="2" width="17.28515625" customWidth="1"/>
    <col min="3" max="3" width="13.85546875" bestFit="1" customWidth="1"/>
    <col min="4" max="4" width="17.140625" customWidth="1"/>
    <col min="5" max="5" width="16.7109375" customWidth="1"/>
    <col min="6" max="6" width="33.140625" style="22" customWidth="1"/>
    <col min="7" max="7" width="14.7109375" bestFit="1" customWidth="1"/>
    <col min="8" max="8" width="12.7109375" bestFit="1" customWidth="1"/>
  </cols>
  <sheetData>
    <row r="1" spans="1:7" s="10" customFormat="1" x14ac:dyDescent="0.25">
      <c r="F1" s="22"/>
    </row>
    <row r="2" spans="1:7" ht="18" x14ac:dyDescent="0.25">
      <c r="A2" s="37" t="s">
        <v>84</v>
      </c>
      <c r="B2" s="37"/>
      <c r="C2" s="37"/>
      <c r="D2" s="37"/>
      <c r="E2" s="37"/>
      <c r="F2" s="37"/>
    </row>
    <row r="3" spans="1:7" ht="18" x14ac:dyDescent="0.25">
      <c r="A3" s="37" t="s">
        <v>122</v>
      </c>
      <c r="B3" s="37"/>
      <c r="C3" s="37"/>
      <c r="D3" s="37"/>
      <c r="E3" s="37"/>
      <c r="F3" s="37"/>
    </row>
    <row r="4" spans="1:7" s="10" customFormat="1" ht="18" x14ac:dyDescent="0.25">
      <c r="A4" s="11"/>
      <c r="F4" s="22"/>
    </row>
    <row r="5" spans="1:7" x14ac:dyDescent="0.25">
      <c r="A5" s="31"/>
      <c r="B5" s="19"/>
      <c r="C5" s="19"/>
      <c r="E5" s="5" t="s">
        <v>91</v>
      </c>
      <c r="F5" s="4">
        <f>D32-C32</f>
        <v>18762</v>
      </c>
      <c r="G5" s="5"/>
    </row>
    <row r="6" spans="1:7" x14ac:dyDescent="0.25">
      <c r="A6" s="31"/>
      <c r="E6" s="5" t="s">
        <v>92</v>
      </c>
      <c r="F6" s="4">
        <f>(D89+D94)-(C89+C94)</f>
        <v>18762</v>
      </c>
    </row>
    <row r="7" spans="1:7" x14ac:dyDescent="0.25">
      <c r="A7" s="6" t="s">
        <v>121</v>
      </c>
    </row>
    <row r="8" spans="1:7" s="31" customFormat="1" x14ac:dyDescent="0.25">
      <c r="F8" s="32"/>
    </row>
    <row r="9" spans="1:7" ht="15.75" thickBot="1" x14ac:dyDescent="0.3">
      <c r="A9" s="1"/>
      <c r="B9" s="35"/>
      <c r="C9" s="36"/>
      <c r="D9" s="36"/>
      <c r="E9" s="36"/>
    </row>
    <row r="10" spans="1:7" ht="46.15" customHeight="1" thickBot="1" x14ac:dyDescent="0.3">
      <c r="A10" s="1"/>
      <c r="B10" s="33" t="s">
        <v>117</v>
      </c>
      <c r="C10" s="33" t="s">
        <v>118</v>
      </c>
      <c r="D10" s="33" t="s">
        <v>119</v>
      </c>
      <c r="E10" s="34" t="s">
        <v>120</v>
      </c>
      <c r="F10" s="18" t="s">
        <v>85</v>
      </c>
    </row>
    <row r="11" spans="1:7" x14ac:dyDescent="0.25">
      <c r="A11" s="2" t="s">
        <v>0</v>
      </c>
      <c r="B11" s="12"/>
      <c r="C11" s="12"/>
      <c r="D11" s="12"/>
      <c r="E11" s="17"/>
      <c r="F11" s="12"/>
    </row>
    <row r="12" spans="1:7" x14ac:dyDescent="0.25">
      <c r="A12" s="8" t="s">
        <v>1</v>
      </c>
      <c r="B12" s="13">
        <v>6456.97</v>
      </c>
      <c r="C12" s="12"/>
      <c r="D12" s="21">
        <v>6400</v>
      </c>
      <c r="E12" s="26">
        <f>D12-C12</f>
        <v>6400</v>
      </c>
      <c r="F12" s="16" t="s">
        <v>86</v>
      </c>
    </row>
    <row r="13" spans="1:7" x14ac:dyDescent="0.25">
      <c r="A13" s="8" t="s">
        <v>2</v>
      </c>
      <c r="B13" s="13">
        <v>12259.75</v>
      </c>
      <c r="C13" s="12"/>
      <c r="D13" s="21">
        <v>12000</v>
      </c>
      <c r="E13" s="26">
        <f t="shared" ref="E13:E76" si="0">D13-C13</f>
        <v>12000</v>
      </c>
      <c r="F13" s="16" t="s">
        <v>87</v>
      </c>
    </row>
    <row r="14" spans="1:7" hidden="1" x14ac:dyDescent="0.25">
      <c r="A14" s="7" t="s">
        <v>3</v>
      </c>
      <c r="B14" s="13">
        <v>5662</v>
      </c>
      <c r="C14" s="12"/>
      <c r="D14" s="20">
        <f t="shared" ref="D14" si="1">(B14)-(C14)</f>
        <v>5662</v>
      </c>
      <c r="E14" s="27">
        <f t="shared" si="0"/>
        <v>5662</v>
      </c>
      <c r="F14" s="16" t="s">
        <v>89</v>
      </c>
    </row>
    <row r="15" spans="1:7" x14ac:dyDescent="0.25">
      <c r="A15" s="2" t="s">
        <v>4</v>
      </c>
      <c r="B15" s="13">
        <v>745.87</v>
      </c>
      <c r="C15" s="13">
        <f>1000</f>
        <v>1000</v>
      </c>
      <c r="D15" s="13">
        <v>1000</v>
      </c>
      <c r="E15" s="28">
        <f t="shared" si="0"/>
        <v>0</v>
      </c>
      <c r="F15" s="16" t="s">
        <v>90</v>
      </c>
    </row>
    <row r="16" spans="1:7" x14ac:dyDescent="0.25">
      <c r="A16" s="2" t="s">
        <v>5</v>
      </c>
      <c r="B16" s="13">
        <v>89</v>
      </c>
      <c r="C16" s="12"/>
      <c r="D16" s="13"/>
      <c r="E16" s="28">
        <f t="shared" si="0"/>
        <v>0</v>
      </c>
      <c r="F16" s="16" t="str">
        <f>IF(C16=0,"",(B16)/(C16))</f>
        <v/>
      </c>
    </row>
    <row r="17" spans="1:6" x14ac:dyDescent="0.25">
      <c r="A17" s="2" t="s">
        <v>6</v>
      </c>
      <c r="B17" s="13">
        <v>27</v>
      </c>
      <c r="C17" s="12"/>
      <c r="D17" s="13"/>
      <c r="E17" s="28">
        <f t="shared" si="0"/>
        <v>0</v>
      </c>
      <c r="F17" s="16" t="str">
        <f>IF(C17=0,"",(B17)/(C17))</f>
        <v/>
      </c>
    </row>
    <row r="18" spans="1:6" x14ac:dyDescent="0.25">
      <c r="A18" s="2" t="s">
        <v>7</v>
      </c>
      <c r="B18" s="13"/>
      <c r="C18" s="12"/>
      <c r="D18" s="13"/>
      <c r="E18" s="28">
        <f t="shared" si="0"/>
        <v>0</v>
      </c>
      <c r="F18" s="16" t="str">
        <f>IF(C18=0,"",(B18)/(C18))</f>
        <v/>
      </c>
    </row>
    <row r="19" spans="1:6" x14ac:dyDescent="0.25">
      <c r="A19" s="2" t="s">
        <v>8</v>
      </c>
      <c r="B19" s="13">
        <v>115.46</v>
      </c>
      <c r="C19" s="12"/>
      <c r="D19" s="13"/>
      <c r="E19" s="28">
        <f t="shared" si="0"/>
        <v>0</v>
      </c>
      <c r="F19" s="16" t="str">
        <f>IF(C19=0,"",(B19)/(C19))</f>
        <v/>
      </c>
    </row>
    <row r="20" spans="1:6" x14ac:dyDescent="0.25">
      <c r="A20" s="2" t="s">
        <v>9</v>
      </c>
      <c r="B20" s="14">
        <v>115.46</v>
      </c>
      <c r="C20" s="14">
        <f>(C18)+(C19)</f>
        <v>0</v>
      </c>
      <c r="D20" s="14">
        <v>0</v>
      </c>
      <c r="E20" s="28">
        <f t="shared" si="0"/>
        <v>0</v>
      </c>
      <c r="F20" s="23" t="str">
        <f>IF(C20=0,"",(B20)/(C20))</f>
        <v/>
      </c>
    </row>
    <row r="21" spans="1:6" x14ac:dyDescent="0.25">
      <c r="A21" s="8" t="s">
        <v>10</v>
      </c>
      <c r="B21" s="13">
        <v>122557.42</v>
      </c>
      <c r="C21" s="13">
        <f>142000</f>
        <v>142000</v>
      </c>
      <c r="D21" s="21">
        <v>138000</v>
      </c>
      <c r="E21" s="28">
        <f t="shared" si="0"/>
        <v>-4000</v>
      </c>
      <c r="F21" s="16" t="s">
        <v>115</v>
      </c>
    </row>
    <row r="22" spans="1:6" x14ac:dyDescent="0.25">
      <c r="A22" s="2" t="s">
        <v>11</v>
      </c>
      <c r="B22" s="13">
        <v>1586.65</v>
      </c>
      <c r="C22" s="13">
        <f>3000</f>
        <v>3000</v>
      </c>
      <c r="D22" s="13">
        <v>3000</v>
      </c>
      <c r="E22" s="28">
        <f t="shared" si="0"/>
        <v>0</v>
      </c>
      <c r="F22" s="16"/>
    </row>
    <row r="23" spans="1:6" x14ac:dyDescent="0.25">
      <c r="A23" s="2" t="s">
        <v>12</v>
      </c>
      <c r="B23" s="13">
        <v>1818</v>
      </c>
      <c r="C23" s="13">
        <f>2000</f>
        <v>2000</v>
      </c>
      <c r="D23" s="13">
        <v>2000</v>
      </c>
      <c r="E23" s="28">
        <f t="shared" si="0"/>
        <v>0</v>
      </c>
      <c r="F23" s="16"/>
    </row>
    <row r="24" spans="1:6" x14ac:dyDescent="0.25">
      <c r="A24" s="2" t="s">
        <v>13</v>
      </c>
      <c r="B24" s="13">
        <v>7081.95</v>
      </c>
      <c r="C24" s="12"/>
      <c r="D24" s="13">
        <v>0</v>
      </c>
      <c r="E24" s="28">
        <f t="shared" si="0"/>
        <v>0</v>
      </c>
      <c r="F24" s="16" t="s">
        <v>93</v>
      </c>
    </row>
    <row r="25" spans="1:6" x14ac:dyDescent="0.25">
      <c r="A25" s="2" t="s">
        <v>14</v>
      </c>
      <c r="B25" s="12">
        <v>16945.13</v>
      </c>
      <c r="C25" s="13">
        <f>80000</f>
        <v>80000</v>
      </c>
      <c r="D25" s="13">
        <v>80000</v>
      </c>
      <c r="E25" s="28">
        <f t="shared" si="0"/>
        <v>0</v>
      </c>
      <c r="F25" s="16"/>
    </row>
    <row r="26" spans="1:6" x14ac:dyDescent="0.25">
      <c r="A26" s="8" t="s">
        <v>15</v>
      </c>
      <c r="B26" s="12">
        <v>709.83</v>
      </c>
      <c r="C26" s="13">
        <f>1800</f>
        <v>1800</v>
      </c>
      <c r="D26" s="21">
        <v>500</v>
      </c>
      <c r="E26" s="28">
        <f t="shared" si="0"/>
        <v>-1300</v>
      </c>
      <c r="F26" s="16" t="s">
        <v>94</v>
      </c>
    </row>
    <row r="27" spans="1:6" x14ac:dyDescent="0.25">
      <c r="A27" s="2" t="s">
        <v>16</v>
      </c>
      <c r="B27" s="13">
        <v>19877</v>
      </c>
      <c r="C27" s="13">
        <f>20000</f>
        <v>20000</v>
      </c>
      <c r="D27" s="13">
        <v>20000</v>
      </c>
      <c r="E27" s="28">
        <f t="shared" si="0"/>
        <v>0</v>
      </c>
      <c r="F27" s="16"/>
    </row>
    <row r="28" spans="1:6" x14ac:dyDescent="0.25">
      <c r="A28" s="2" t="s">
        <v>17</v>
      </c>
      <c r="B28" s="13">
        <v>20763.95</v>
      </c>
      <c r="C28" s="13">
        <f>18000</f>
        <v>18000</v>
      </c>
      <c r="D28" s="13">
        <v>18000</v>
      </c>
      <c r="E28" s="28">
        <f t="shared" si="0"/>
        <v>0</v>
      </c>
      <c r="F28" s="16"/>
    </row>
    <row r="29" spans="1:6" x14ac:dyDescent="0.25">
      <c r="A29" s="2" t="s">
        <v>18</v>
      </c>
      <c r="B29" s="13">
        <v>1795</v>
      </c>
      <c r="C29" s="13">
        <f>1200</f>
        <v>1200</v>
      </c>
      <c r="D29" s="13">
        <v>1200</v>
      </c>
      <c r="E29" s="28">
        <f t="shared" si="0"/>
        <v>0</v>
      </c>
      <c r="F29" s="16"/>
    </row>
    <row r="30" spans="1:6" ht="14.25" hidden="1" customHeight="1" x14ac:dyDescent="0.25">
      <c r="A30" s="38" t="s">
        <v>19</v>
      </c>
      <c r="B30" s="13">
        <v>1404.05</v>
      </c>
      <c r="C30" s="12"/>
      <c r="D30" s="39"/>
      <c r="E30" s="28">
        <f t="shared" si="0"/>
        <v>0</v>
      </c>
      <c r="F30" s="16" t="s">
        <v>116</v>
      </c>
    </row>
    <row r="31" spans="1:6" x14ac:dyDescent="0.25">
      <c r="A31" s="2" t="s">
        <v>20</v>
      </c>
      <c r="B31" s="14">
        <v>219895.03</v>
      </c>
      <c r="C31" s="14">
        <f>((((((((((((((((C12)+(C13))+(C14))+(C15))+(C16))+(C17))+(C20))+(C21))+(C22))+(C23))+(C24))+(C25))+(C26))+(C27))+(C28))+(C29))+(C30)</f>
        <v>269000</v>
      </c>
      <c r="D31" s="14">
        <f>((((((((((((((((D12)+(D13))+(D14))+(D15))+(D16))+(D17))+(D20))+(D21))+(D22))+(D23))+(D24))+(D25))+(D26))+(D27))+(D28))+(D29))+(D30)</f>
        <v>287762</v>
      </c>
      <c r="E31" s="28">
        <f t="shared" si="0"/>
        <v>18762</v>
      </c>
      <c r="F31" s="23"/>
    </row>
    <row r="32" spans="1:6" x14ac:dyDescent="0.25">
      <c r="A32" s="2" t="s">
        <v>21</v>
      </c>
      <c r="B32" s="14">
        <v>219895.03</v>
      </c>
      <c r="C32" s="14">
        <f>(C31)-(0)</f>
        <v>269000</v>
      </c>
      <c r="D32" s="14">
        <f>(D31)-(0)</f>
        <v>287762</v>
      </c>
      <c r="E32" s="28">
        <f t="shared" si="0"/>
        <v>18762</v>
      </c>
      <c r="F32" s="23"/>
    </row>
    <row r="33" spans="1:6" x14ac:dyDescent="0.25">
      <c r="A33" s="2" t="s">
        <v>22</v>
      </c>
      <c r="B33" s="12"/>
      <c r="C33" s="12"/>
      <c r="D33" s="12"/>
      <c r="E33" s="28">
        <f t="shared" si="0"/>
        <v>0</v>
      </c>
      <c r="F33" s="12"/>
    </row>
    <row r="34" spans="1:6" x14ac:dyDescent="0.25">
      <c r="A34" s="2" t="s">
        <v>23</v>
      </c>
      <c r="B34" s="12"/>
      <c r="C34" s="13">
        <f>150</f>
        <v>150</v>
      </c>
      <c r="D34" s="13">
        <v>150</v>
      </c>
      <c r="E34" s="28">
        <f t="shared" si="0"/>
        <v>0</v>
      </c>
      <c r="F34" s="16" t="s">
        <v>88</v>
      </c>
    </row>
    <row r="35" spans="1:6" hidden="1" x14ac:dyDescent="0.25">
      <c r="A35" s="7" t="s">
        <v>24</v>
      </c>
      <c r="B35" s="13">
        <v>325</v>
      </c>
      <c r="C35" s="12"/>
      <c r="D35" s="20">
        <v>0</v>
      </c>
      <c r="E35" s="28">
        <f t="shared" si="0"/>
        <v>0</v>
      </c>
      <c r="F35" s="16" t="s">
        <v>99</v>
      </c>
    </row>
    <row r="36" spans="1:6" x14ac:dyDescent="0.25">
      <c r="A36" s="2" t="s">
        <v>25</v>
      </c>
      <c r="B36" s="13">
        <v>398</v>
      </c>
      <c r="C36" s="13">
        <f>400</f>
        <v>400</v>
      </c>
      <c r="D36" s="13">
        <v>400</v>
      </c>
      <c r="E36" s="28">
        <f t="shared" si="0"/>
        <v>0</v>
      </c>
      <c r="F36" s="16"/>
    </row>
    <row r="37" spans="1:6" x14ac:dyDescent="0.25">
      <c r="A37" s="2" t="s">
        <v>26</v>
      </c>
      <c r="B37" s="12"/>
      <c r="C37" s="12"/>
      <c r="D37" s="13">
        <f t="shared" ref="D37:D65" si="2">(B37)-(C37)</f>
        <v>0</v>
      </c>
      <c r="E37" s="28">
        <f t="shared" si="0"/>
        <v>0</v>
      </c>
      <c r="F37" s="16" t="str">
        <f>IF(C37=0,"",(B37)/(C37))</f>
        <v/>
      </c>
    </row>
    <row r="38" spans="1:6" x14ac:dyDescent="0.25">
      <c r="A38" s="8" t="s">
        <v>95</v>
      </c>
      <c r="B38" s="12"/>
      <c r="C38" s="12"/>
      <c r="D38" s="21">
        <v>4900</v>
      </c>
      <c r="E38" s="28">
        <f t="shared" si="0"/>
        <v>4900</v>
      </c>
      <c r="F38" s="16" t="s">
        <v>96</v>
      </c>
    </row>
    <row r="39" spans="1:6" x14ac:dyDescent="0.25">
      <c r="A39" s="8" t="s">
        <v>97</v>
      </c>
      <c r="B39" s="12"/>
      <c r="C39" s="12"/>
      <c r="D39" s="21">
        <v>300</v>
      </c>
      <c r="E39" s="28">
        <f t="shared" si="0"/>
        <v>300</v>
      </c>
      <c r="F39" s="16" t="s">
        <v>96</v>
      </c>
    </row>
    <row r="40" spans="1:6" x14ac:dyDescent="0.25">
      <c r="A40" s="2" t="s">
        <v>27</v>
      </c>
      <c r="B40" s="13">
        <v>7274.82</v>
      </c>
      <c r="C40" s="12"/>
      <c r="D40" s="13">
        <f t="shared" si="2"/>
        <v>7274.82</v>
      </c>
      <c r="E40" s="28">
        <f t="shared" si="0"/>
        <v>7274.82</v>
      </c>
      <c r="F40" s="16" t="str">
        <f>IF(C40=0,"",(B40)/(C40))</f>
        <v/>
      </c>
    </row>
    <row r="41" spans="1:6" x14ac:dyDescent="0.25">
      <c r="A41" s="2" t="s">
        <v>28</v>
      </c>
      <c r="B41" s="13">
        <v>300</v>
      </c>
      <c r="C41" s="13">
        <f>850</f>
        <v>850</v>
      </c>
      <c r="D41" s="13">
        <v>850</v>
      </c>
      <c r="E41" s="28">
        <f t="shared" si="0"/>
        <v>0</v>
      </c>
      <c r="F41" s="16" t="s">
        <v>98</v>
      </c>
    </row>
    <row r="42" spans="1:6" x14ac:dyDescent="0.25">
      <c r="A42" s="8" t="s">
        <v>29</v>
      </c>
      <c r="B42" s="13">
        <v>389.89</v>
      </c>
      <c r="C42" s="13">
        <f>2000</f>
        <v>2000</v>
      </c>
      <c r="D42" s="21">
        <v>1750</v>
      </c>
      <c r="E42" s="28">
        <f t="shared" si="0"/>
        <v>-250</v>
      </c>
      <c r="F42" s="16" t="s">
        <v>88</v>
      </c>
    </row>
    <row r="43" spans="1:6" x14ac:dyDescent="0.25">
      <c r="A43" s="2" t="s">
        <v>30</v>
      </c>
      <c r="B43" s="12"/>
      <c r="C43" s="13">
        <f>525</f>
        <v>525</v>
      </c>
      <c r="D43" s="13">
        <v>525</v>
      </c>
      <c r="E43" s="28">
        <f t="shared" si="0"/>
        <v>0</v>
      </c>
      <c r="F43" s="16" t="s">
        <v>88</v>
      </c>
    </row>
    <row r="44" spans="1:6" x14ac:dyDescent="0.25">
      <c r="A44" s="8" t="s">
        <v>31</v>
      </c>
      <c r="B44" s="12">
        <v>2518.19</v>
      </c>
      <c r="C44" s="13">
        <f>1400</f>
        <v>1400</v>
      </c>
      <c r="D44" s="21">
        <v>1950</v>
      </c>
      <c r="E44" s="28">
        <f t="shared" si="0"/>
        <v>550</v>
      </c>
      <c r="F44" s="16" t="s">
        <v>88</v>
      </c>
    </row>
    <row r="45" spans="1:6" x14ac:dyDescent="0.25">
      <c r="A45" s="8" t="s">
        <v>32</v>
      </c>
      <c r="B45" s="13">
        <v>2520</v>
      </c>
      <c r="C45" s="13">
        <f>23000</f>
        <v>23000</v>
      </c>
      <c r="D45" s="21">
        <v>22000</v>
      </c>
      <c r="E45" s="28">
        <f t="shared" si="0"/>
        <v>-1000</v>
      </c>
      <c r="F45" s="16" t="s">
        <v>88</v>
      </c>
    </row>
    <row r="46" spans="1:6" x14ac:dyDescent="0.25">
      <c r="A46" s="2" t="s">
        <v>33</v>
      </c>
      <c r="B46" s="13">
        <v>9202.7999999999993</v>
      </c>
      <c r="C46" s="13">
        <f>10000</f>
        <v>10000</v>
      </c>
      <c r="D46" s="13">
        <v>10000</v>
      </c>
      <c r="E46" s="28">
        <f t="shared" si="0"/>
        <v>0</v>
      </c>
      <c r="F46" s="16" t="s">
        <v>88</v>
      </c>
    </row>
    <row r="47" spans="1:6" x14ac:dyDescent="0.25">
      <c r="A47" s="8" t="s">
        <v>34</v>
      </c>
      <c r="B47" s="13">
        <v>11459.03</v>
      </c>
      <c r="C47" s="13">
        <f>16000</f>
        <v>16000</v>
      </c>
      <c r="D47" s="21">
        <v>14000</v>
      </c>
      <c r="E47" s="28">
        <f t="shared" si="0"/>
        <v>-2000</v>
      </c>
      <c r="F47" s="16" t="s">
        <v>100</v>
      </c>
    </row>
    <row r="48" spans="1:6" x14ac:dyDescent="0.25">
      <c r="A48" s="2" t="s">
        <v>35</v>
      </c>
      <c r="B48" s="14">
        <v>33664.729999999996</v>
      </c>
      <c r="C48" s="14">
        <f>((((((((C37)+(C40))+(C41))+(C42))+(C43))+(C44))+(C45))+(C46))+(C47)+C38+C39</f>
        <v>53775</v>
      </c>
      <c r="D48" s="14">
        <f>((((((((D37)+(D40))+(D41))+(D42))+(D43))+(D44))+(D45))+(D46))+(D47)+D38+D39</f>
        <v>63549.82</v>
      </c>
      <c r="E48" s="28">
        <f t="shared" si="0"/>
        <v>9774.82</v>
      </c>
      <c r="F48" s="23" t="s">
        <v>88</v>
      </c>
    </row>
    <row r="49" spans="1:6" x14ac:dyDescent="0.25">
      <c r="A49" s="2" t="s">
        <v>36</v>
      </c>
      <c r="B49" s="12"/>
      <c r="C49" s="12"/>
      <c r="D49" s="13">
        <f t="shared" si="2"/>
        <v>0</v>
      </c>
      <c r="E49" s="28">
        <f t="shared" si="0"/>
        <v>0</v>
      </c>
      <c r="F49" s="16" t="str">
        <f>IF(C49=0,"",(B49)/(C49))</f>
        <v/>
      </c>
    </row>
    <row r="50" spans="1:6" x14ac:dyDescent="0.25">
      <c r="A50" s="8" t="s">
        <v>37</v>
      </c>
      <c r="B50" s="13">
        <v>267.31</v>
      </c>
      <c r="C50" s="13">
        <f>500</f>
        <v>500</v>
      </c>
      <c r="D50" s="21">
        <v>275</v>
      </c>
      <c r="E50" s="28">
        <f t="shared" si="0"/>
        <v>-225</v>
      </c>
      <c r="F50" s="16" t="s">
        <v>101</v>
      </c>
    </row>
    <row r="51" spans="1:6" x14ac:dyDescent="0.25">
      <c r="A51" s="2" t="s">
        <v>38</v>
      </c>
      <c r="B51" s="13">
        <v>4720.3100000000004</v>
      </c>
      <c r="C51" s="13">
        <f>1750</f>
        <v>1750</v>
      </c>
      <c r="D51" s="13">
        <f>1750</f>
        <v>1750</v>
      </c>
      <c r="E51" s="28">
        <f t="shared" si="0"/>
        <v>0</v>
      </c>
      <c r="F51" s="16" t="s">
        <v>106</v>
      </c>
    </row>
    <row r="52" spans="1:6" x14ac:dyDescent="0.25">
      <c r="A52" s="2" t="s">
        <v>39</v>
      </c>
      <c r="B52" s="13">
        <v>20</v>
      </c>
      <c r="C52" s="12"/>
      <c r="D52" s="13">
        <f t="shared" si="2"/>
        <v>20</v>
      </c>
      <c r="E52" s="28">
        <f t="shared" si="0"/>
        <v>20</v>
      </c>
      <c r="F52" s="16" t="str">
        <f>IF(C52=0,"",(B52)/(C52))</f>
        <v/>
      </c>
    </row>
    <row r="53" spans="1:6" hidden="1" x14ac:dyDescent="0.25">
      <c r="A53" s="7" t="s">
        <v>40</v>
      </c>
      <c r="B53" s="13">
        <v>0</v>
      </c>
      <c r="C53" s="12"/>
      <c r="D53" s="20">
        <v>0</v>
      </c>
      <c r="E53" s="28">
        <f t="shared" si="0"/>
        <v>0</v>
      </c>
      <c r="F53" s="16" t="s">
        <v>102</v>
      </c>
    </row>
    <row r="54" spans="1:6" x14ac:dyDescent="0.25">
      <c r="A54" s="2" t="s">
        <v>41</v>
      </c>
      <c r="B54" s="12"/>
      <c r="C54" s="13">
        <f>250</f>
        <v>250</v>
      </c>
      <c r="D54" s="13">
        <v>250</v>
      </c>
      <c r="E54" s="28">
        <f t="shared" si="0"/>
        <v>0</v>
      </c>
      <c r="F54" s="16"/>
    </row>
    <row r="55" spans="1:6" x14ac:dyDescent="0.25">
      <c r="A55" s="2" t="s">
        <v>42</v>
      </c>
      <c r="B55" s="13">
        <v>683.42</v>
      </c>
      <c r="C55" s="13">
        <f>2050</f>
        <v>2050</v>
      </c>
      <c r="D55" s="13">
        <v>2050</v>
      </c>
      <c r="E55" s="28">
        <f t="shared" si="0"/>
        <v>0</v>
      </c>
      <c r="F55" s="16"/>
    </row>
    <row r="56" spans="1:6" x14ac:dyDescent="0.25">
      <c r="A56" s="8" t="s">
        <v>43</v>
      </c>
      <c r="B56" s="13">
        <v>640.62</v>
      </c>
      <c r="C56" s="13">
        <f>700</f>
        <v>700</v>
      </c>
      <c r="D56" s="21">
        <v>900</v>
      </c>
      <c r="E56" s="28">
        <f t="shared" si="0"/>
        <v>200</v>
      </c>
      <c r="F56" s="16" t="s">
        <v>103</v>
      </c>
    </row>
    <row r="57" spans="1:6" ht="23.25" x14ac:dyDescent="0.25">
      <c r="A57" s="8" t="s">
        <v>44</v>
      </c>
      <c r="B57" s="13">
        <v>200</v>
      </c>
      <c r="C57" s="13">
        <f>1500</f>
        <v>1500</v>
      </c>
      <c r="D57" s="21">
        <v>1200</v>
      </c>
      <c r="E57" s="28">
        <f t="shared" si="0"/>
        <v>-300</v>
      </c>
      <c r="F57" s="16" t="s">
        <v>105</v>
      </c>
    </row>
    <row r="58" spans="1:6" ht="23.25" x14ac:dyDescent="0.25">
      <c r="A58" s="2" t="s">
        <v>45</v>
      </c>
      <c r="B58" s="13">
        <v>4336.08</v>
      </c>
      <c r="C58" s="13">
        <f>3700</f>
        <v>3700</v>
      </c>
      <c r="D58" s="13">
        <v>3700</v>
      </c>
      <c r="E58" s="28">
        <f t="shared" si="0"/>
        <v>0</v>
      </c>
      <c r="F58" s="16" t="s">
        <v>104</v>
      </c>
    </row>
    <row r="59" spans="1:6" x14ac:dyDescent="0.25">
      <c r="A59" s="2" t="s">
        <v>46</v>
      </c>
      <c r="B59" s="13">
        <v>960</v>
      </c>
      <c r="C59" s="13">
        <f>2600</f>
        <v>2600</v>
      </c>
      <c r="D59" s="13">
        <v>2600</v>
      </c>
      <c r="E59" s="28">
        <f t="shared" si="0"/>
        <v>0</v>
      </c>
      <c r="F59" s="16"/>
    </row>
    <row r="60" spans="1:6" x14ac:dyDescent="0.25">
      <c r="A60" s="2" t="s">
        <v>47</v>
      </c>
      <c r="B60" s="13">
        <v>264</v>
      </c>
      <c r="C60" s="13">
        <f>1400</f>
        <v>1400</v>
      </c>
      <c r="D60" s="13">
        <v>1400</v>
      </c>
      <c r="E60" s="28">
        <f t="shared" si="0"/>
        <v>0</v>
      </c>
      <c r="F60" s="16"/>
    </row>
    <row r="61" spans="1:6" x14ac:dyDescent="0.25">
      <c r="A61" s="2" t="s">
        <v>48</v>
      </c>
      <c r="B61" s="14">
        <v>12091.740000000002</v>
      </c>
      <c r="C61" s="14">
        <f>(((((((((((C49)+(C50))+(C51))+(C52))+(C53))+(C54))+(C55))+(C56))+(C57))+(C58))+(C59))+(C60)</f>
        <v>14450</v>
      </c>
      <c r="D61" s="14">
        <f>(((((((((((D49)+(D50))+(D51))+(D52))+(D53))+(D54))+(D55))+(D56))+(D57))+(D58))+(D59))+(D60)</f>
        <v>14145</v>
      </c>
      <c r="E61" s="28">
        <f t="shared" si="0"/>
        <v>-305</v>
      </c>
      <c r="F61" s="23" t="s">
        <v>88</v>
      </c>
    </row>
    <row r="62" spans="1:6" x14ac:dyDescent="0.25">
      <c r="A62" s="8" t="s">
        <v>49</v>
      </c>
      <c r="B62" s="13">
        <v>3977.17</v>
      </c>
      <c r="C62" s="13">
        <f>8000</f>
        <v>8000</v>
      </c>
      <c r="D62" s="21">
        <v>6500</v>
      </c>
      <c r="E62" s="28">
        <f t="shared" si="0"/>
        <v>-1500</v>
      </c>
      <c r="F62" s="16" t="s">
        <v>94</v>
      </c>
    </row>
    <row r="63" spans="1:6" x14ac:dyDescent="0.25">
      <c r="A63" s="2" t="s">
        <v>50</v>
      </c>
      <c r="B63" s="13"/>
      <c r="C63" s="12"/>
      <c r="D63" s="13">
        <f t="shared" si="2"/>
        <v>0</v>
      </c>
      <c r="E63" s="28">
        <f t="shared" si="0"/>
        <v>0</v>
      </c>
      <c r="F63" s="16" t="str">
        <f>IF(C63=0,"",(B63)/(C63))</f>
        <v/>
      </c>
    </row>
    <row r="64" spans="1:6" x14ac:dyDescent="0.25">
      <c r="A64" s="8" t="s">
        <v>51</v>
      </c>
      <c r="B64" s="13">
        <v>950</v>
      </c>
      <c r="C64" s="13">
        <f>900</f>
        <v>900</v>
      </c>
      <c r="D64" s="21">
        <v>950</v>
      </c>
      <c r="E64" s="28">
        <f t="shared" si="0"/>
        <v>50</v>
      </c>
      <c r="F64" s="16" t="s">
        <v>107</v>
      </c>
    </row>
    <row r="65" spans="1:6" x14ac:dyDescent="0.25">
      <c r="A65" s="2" t="s">
        <v>52</v>
      </c>
      <c r="B65" s="13">
        <v>0</v>
      </c>
      <c r="C65" s="12"/>
      <c r="D65" s="13">
        <f t="shared" si="2"/>
        <v>0</v>
      </c>
      <c r="E65" s="28">
        <f t="shared" si="0"/>
        <v>0</v>
      </c>
      <c r="F65" s="16" t="str">
        <f>IF(C65=0,"",(B65)/(C65))</f>
        <v/>
      </c>
    </row>
    <row r="66" spans="1:6" x14ac:dyDescent="0.25">
      <c r="A66" s="8" t="s">
        <v>53</v>
      </c>
      <c r="B66" s="13">
        <v>595.5</v>
      </c>
      <c r="C66" s="13">
        <f>2800</f>
        <v>2800</v>
      </c>
      <c r="D66" s="21">
        <v>4500</v>
      </c>
      <c r="E66" s="28">
        <f t="shared" si="0"/>
        <v>1700</v>
      </c>
      <c r="F66" s="16" t="s">
        <v>108</v>
      </c>
    </row>
    <row r="67" spans="1:6" x14ac:dyDescent="0.25">
      <c r="A67" s="2" t="s">
        <v>54</v>
      </c>
      <c r="B67" s="13">
        <v>1057.5</v>
      </c>
      <c r="C67" s="13">
        <f>2400</f>
        <v>2400</v>
      </c>
      <c r="D67" s="13">
        <v>2400</v>
      </c>
      <c r="E67" s="28">
        <f t="shared" si="0"/>
        <v>0</v>
      </c>
      <c r="F67" s="16" t="s">
        <v>88</v>
      </c>
    </row>
    <row r="68" spans="1:6" x14ac:dyDescent="0.25">
      <c r="A68" s="2" t="s">
        <v>55</v>
      </c>
      <c r="B68" s="13">
        <v>540</v>
      </c>
      <c r="C68" s="13">
        <f>600</f>
        <v>600</v>
      </c>
      <c r="D68" s="13">
        <v>600</v>
      </c>
      <c r="E68" s="28">
        <f t="shared" si="0"/>
        <v>0</v>
      </c>
      <c r="F68" s="16" t="s">
        <v>88</v>
      </c>
    </row>
    <row r="69" spans="1:6" x14ac:dyDescent="0.25">
      <c r="A69" s="2" t="s">
        <v>56</v>
      </c>
      <c r="B69" s="13">
        <v>4603.57</v>
      </c>
      <c r="C69" s="12"/>
      <c r="D69" s="13">
        <v>0</v>
      </c>
      <c r="E69" s="28">
        <f t="shared" si="0"/>
        <v>0</v>
      </c>
      <c r="F69" s="16" t="str">
        <f>IF(C69=0,"",(B69)/(C69))</f>
        <v/>
      </c>
    </row>
    <row r="70" spans="1:6" x14ac:dyDescent="0.25">
      <c r="A70" s="2" t="s">
        <v>57</v>
      </c>
      <c r="B70" s="13">
        <f>128.59+1121.52</f>
        <v>1250.1099999999999</v>
      </c>
      <c r="C70" s="13">
        <f>3000</f>
        <v>3000</v>
      </c>
      <c r="D70" s="13">
        <v>3000</v>
      </c>
      <c r="E70" s="28">
        <f t="shared" si="0"/>
        <v>0</v>
      </c>
      <c r="F70" s="16"/>
    </row>
    <row r="71" spans="1:6" x14ac:dyDescent="0.25">
      <c r="A71" s="2" t="s">
        <v>58</v>
      </c>
      <c r="B71" s="14">
        <v>8996.68</v>
      </c>
      <c r="C71" s="14">
        <f>(((((((C63)+(C64))+(C65))+(C66))+(C67))+(C68))+(C69))+(C70)</f>
        <v>9700</v>
      </c>
      <c r="D71" s="14">
        <f>(((((((D63)+(D64))+(D65))+(D66))+(D67))+(D68))+(D69))+(D70)</f>
        <v>11450</v>
      </c>
      <c r="E71" s="28">
        <f t="shared" si="0"/>
        <v>1750</v>
      </c>
      <c r="F71" s="23"/>
    </row>
    <row r="72" spans="1:6" x14ac:dyDescent="0.25">
      <c r="A72" s="2" t="s">
        <v>59</v>
      </c>
      <c r="B72" s="13">
        <v>50.48</v>
      </c>
      <c r="C72" s="12"/>
      <c r="D72" s="13">
        <v>0</v>
      </c>
      <c r="E72" s="28">
        <f t="shared" si="0"/>
        <v>0</v>
      </c>
      <c r="F72" s="16" t="str">
        <f>IF(C72=0,"",(B72)/(C72))</f>
        <v/>
      </c>
    </row>
    <row r="73" spans="1:6" hidden="1" x14ac:dyDescent="0.25">
      <c r="A73" s="9" t="s">
        <v>60</v>
      </c>
      <c r="B73" s="13">
        <v>-10469.66</v>
      </c>
      <c r="C73" s="12"/>
      <c r="D73" s="25">
        <v>0</v>
      </c>
      <c r="E73" s="28">
        <f t="shared" si="0"/>
        <v>0</v>
      </c>
      <c r="F73" s="16" t="str">
        <f>IF(C73=0,"",(B73)/(C73))</f>
        <v/>
      </c>
    </row>
    <row r="74" spans="1:6" x14ac:dyDescent="0.25">
      <c r="A74" s="8" t="s">
        <v>61</v>
      </c>
      <c r="B74" s="12">
        <v>66132.88</v>
      </c>
      <c r="C74" s="13">
        <f>125000</f>
        <v>125000</v>
      </c>
      <c r="D74" s="21">
        <f>132612.5+17.68</f>
        <v>132630.18</v>
      </c>
      <c r="E74" s="28">
        <f t="shared" si="0"/>
        <v>7630.179999999993</v>
      </c>
      <c r="F74" s="16" t="s">
        <v>109</v>
      </c>
    </row>
    <row r="75" spans="1:6" hidden="1" x14ac:dyDescent="0.25">
      <c r="A75" s="9" t="s">
        <v>62</v>
      </c>
      <c r="B75" s="13">
        <v>5662</v>
      </c>
      <c r="C75" s="12"/>
      <c r="D75" s="25">
        <f t="shared" ref="D75" si="3">(B75)-(C75)</f>
        <v>5662</v>
      </c>
      <c r="E75" s="28">
        <f t="shared" si="0"/>
        <v>5662</v>
      </c>
      <c r="F75" s="16" t="s">
        <v>89</v>
      </c>
    </row>
    <row r="76" spans="1:6" x14ac:dyDescent="0.25">
      <c r="A76" s="2" t="s">
        <v>63</v>
      </c>
      <c r="B76" s="13"/>
      <c r="C76" s="12"/>
      <c r="D76" s="13">
        <v>0</v>
      </c>
      <c r="E76" s="28">
        <f t="shared" si="0"/>
        <v>0</v>
      </c>
      <c r="F76" s="16" t="s">
        <v>110</v>
      </c>
    </row>
    <row r="77" spans="1:6" ht="34.5" x14ac:dyDescent="0.25">
      <c r="A77" s="8" t="s">
        <v>64</v>
      </c>
      <c r="B77" s="13">
        <v>5686.19</v>
      </c>
      <c r="C77" s="13">
        <f>3200</f>
        <v>3200</v>
      </c>
      <c r="D77" s="21">
        <v>2000</v>
      </c>
      <c r="E77" s="28">
        <f t="shared" ref="E77:E96" si="4">D77-C77</f>
        <v>-1200</v>
      </c>
      <c r="F77" s="16" t="s">
        <v>114</v>
      </c>
    </row>
    <row r="78" spans="1:6" x14ac:dyDescent="0.25">
      <c r="A78" s="2" t="s">
        <v>65</v>
      </c>
      <c r="B78" s="13">
        <v>1432.95</v>
      </c>
      <c r="C78" s="13">
        <f>2700</f>
        <v>2700</v>
      </c>
      <c r="D78" s="13">
        <v>2700</v>
      </c>
      <c r="E78" s="28">
        <f t="shared" si="4"/>
        <v>0</v>
      </c>
      <c r="F78" s="16">
        <f>IF(C78=0,"",(B78)/(C78))</f>
        <v>0.53072222222222221</v>
      </c>
    </row>
    <row r="79" spans="1:6" x14ac:dyDescent="0.25">
      <c r="A79" s="2" t="s">
        <v>66</v>
      </c>
      <c r="B79" s="13">
        <v>1603.36</v>
      </c>
      <c r="C79" s="13">
        <f>1700</f>
        <v>1700</v>
      </c>
      <c r="D79" s="13">
        <v>1700</v>
      </c>
      <c r="E79" s="28">
        <f t="shared" si="4"/>
        <v>0</v>
      </c>
      <c r="F79" s="16">
        <f>IF(C79=0,"",(B79)/(C79))</f>
        <v>0.94315294117647053</v>
      </c>
    </row>
    <row r="80" spans="1:6" x14ac:dyDescent="0.25">
      <c r="A80" s="2" t="s">
        <v>67</v>
      </c>
      <c r="B80" s="12">
        <v>-83.58</v>
      </c>
      <c r="C80" s="13">
        <f>2400</f>
        <v>2400</v>
      </c>
      <c r="D80" s="13">
        <v>2400</v>
      </c>
      <c r="E80" s="28">
        <f t="shared" si="4"/>
        <v>0</v>
      </c>
      <c r="F80" s="16">
        <f>IF(C80=0,"",(B80)/(C80))</f>
        <v>-3.4825000000000002E-2</v>
      </c>
    </row>
    <row r="81" spans="1:6" x14ac:dyDescent="0.25">
      <c r="A81" s="2" t="s">
        <v>68</v>
      </c>
      <c r="B81" s="13">
        <v>187.5</v>
      </c>
      <c r="C81" s="13">
        <f>500</f>
        <v>500</v>
      </c>
      <c r="D81" s="13">
        <v>500</v>
      </c>
      <c r="E81" s="28">
        <f t="shared" si="4"/>
        <v>0</v>
      </c>
      <c r="F81" s="16">
        <f>IF(C81=0,"",(B81)/(C81))</f>
        <v>0.375</v>
      </c>
    </row>
    <row r="82" spans="1:6" x14ac:dyDescent="0.25">
      <c r="A82" s="2" t="s">
        <v>69</v>
      </c>
      <c r="B82" s="13">
        <v>3368.65</v>
      </c>
      <c r="C82" s="13">
        <f>5000</f>
        <v>5000</v>
      </c>
      <c r="D82" s="13">
        <v>5000</v>
      </c>
      <c r="E82" s="28">
        <f t="shared" si="4"/>
        <v>0</v>
      </c>
      <c r="F82" s="16">
        <f>IF(C82=0,"",(B82)/(C82))</f>
        <v>0.67373000000000005</v>
      </c>
    </row>
    <row r="83" spans="1:6" x14ac:dyDescent="0.25">
      <c r="A83" s="2" t="s">
        <v>70</v>
      </c>
      <c r="B83" s="13">
        <v>2406.6799999999998</v>
      </c>
      <c r="C83" s="13">
        <f>3000</f>
        <v>3000</v>
      </c>
      <c r="D83" s="13">
        <v>3000</v>
      </c>
      <c r="E83" s="28">
        <f t="shared" si="4"/>
        <v>0</v>
      </c>
      <c r="F83" s="16" t="s">
        <v>113</v>
      </c>
    </row>
    <row r="84" spans="1:6" x14ac:dyDescent="0.25">
      <c r="A84" s="8" t="s">
        <v>71</v>
      </c>
      <c r="B84" s="13">
        <v>2412.34</v>
      </c>
      <c r="C84" s="13">
        <f>2400</f>
        <v>2400</v>
      </c>
      <c r="D84" s="21">
        <v>2000</v>
      </c>
      <c r="E84" s="28">
        <f t="shared" si="4"/>
        <v>-400</v>
      </c>
      <c r="F84" s="16"/>
    </row>
    <row r="85" spans="1:6" x14ac:dyDescent="0.25">
      <c r="A85" s="8" t="s">
        <v>72</v>
      </c>
      <c r="B85" s="12"/>
      <c r="C85" s="13">
        <f>1400</f>
        <v>1400</v>
      </c>
      <c r="D85" s="21">
        <v>1250</v>
      </c>
      <c r="E85" s="28">
        <f t="shared" si="4"/>
        <v>-150</v>
      </c>
      <c r="F85" s="16" t="s">
        <v>112</v>
      </c>
    </row>
    <row r="86" spans="1:6" x14ac:dyDescent="0.25">
      <c r="A86" s="8" t="s">
        <v>73</v>
      </c>
      <c r="B86" s="13">
        <v>9100</v>
      </c>
      <c r="C86" s="13">
        <f>10500</f>
        <v>10500</v>
      </c>
      <c r="D86" s="21">
        <v>8000</v>
      </c>
      <c r="E86" s="28">
        <f t="shared" si="4"/>
        <v>-2500</v>
      </c>
      <c r="F86" s="16" t="s">
        <v>111</v>
      </c>
    </row>
    <row r="87" spans="1:6" x14ac:dyDescent="0.25">
      <c r="A87" s="2" t="s">
        <v>74</v>
      </c>
      <c r="B87" s="13">
        <v>754.19</v>
      </c>
      <c r="C87" s="13">
        <f>20000</f>
        <v>20000</v>
      </c>
      <c r="D87" s="13">
        <v>20000</v>
      </c>
      <c r="E87" s="28">
        <f t="shared" si="4"/>
        <v>0</v>
      </c>
      <c r="F87" s="16"/>
    </row>
    <row r="88" spans="1:6" x14ac:dyDescent="0.25">
      <c r="A88" s="2" t="s">
        <v>75</v>
      </c>
      <c r="B88" s="14">
        <v>26868.28</v>
      </c>
      <c r="C88" s="14">
        <f>(((((((((((C76)+(C77))+(C78))+(C79))+(C80))+(C81))+(C82))+(C83))+(C84))+(C85))+(C86))+(C87)</f>
        <v>52800</v>
      </c>
      <c r="D88" s="14">
        <f>(((((((((((D76)+(D77))+(D78))+(D79))+(D80))+(D81))+(D82))+(D83))+(D84))+(D85))+(D86))+(D87)</f>
        <v>48550</v>
      </c>
      <c r="E88" s="28">
        <f t="shared" si="4"/>
        <v>-4250</v>
      </c>
      <c r="F88" s="23"/>
    </row>
    <row r="89" spans="1:6" x14ac:dyDescent="0.25">
      <c r="A89" s="2" t="s">
        <v>76</v>
      </c>
      <c r="B89" s="14">
        <v>147697.29999999999</v>
      </c>
      <c r="C89" s="14">
        <f>(((((((((((C34)+(C35))+(C36))+(C48))+(C61))+(C62))+(C71))+(C72))+(C73))+(C74))+(C75))+(C88)</f>
        <v>264275</v>
      </c>
      <c r="D89" s="14">
        <f>(((((((((((D34)+(D35))+(D36))+(D48))+(D61))+(D62))+(D71))+(D72))+(D73))+(D74))+(D75))+(D88)</f>
        <v>283037</v>
      </c>
      <c r="E89" s="28">
        <f t="shared" si="4"/>
        <v>18762</v>
      </c>
      <c r="F89" s="23"/>
    </row>
    <row r="90" spans="1:6" x14ac:dyDescent="0.25">
      <c r="A90" s="2" t="s">
        <v>77</v>
      </c>
      <c r="B90" s="14">
        <v>72197.73000000001</v>
      </c>
      <c r="C90" s="14">
        <f>(C32)-(C89)</f>
        <v>4725</v>
      </c>
      <c r="D90" s="14">
        <f>(D32)-(D89)</f>
        <v>4725</v>
      </c>
      <c r="E90" s="28">
        <f t="shared" si="4"/>
        <v>0</v>
      </c>
      <c r="F90" s="23"/>
    </row>
    <row r="91" spans="1:6" x14ac:dyDescent="0.25">
      <c r="A91" s="2" t="s">
        <v>78</v>
      </c>
      <c r="B91" s="12"/>
      <c r="C91" s="12"/>
      <c r="D91" s="12"/>
      <c r="E91" s="28">
        <f t="shared" si="4"/>
        <v>0</v>
      </c>
      <c r="F91" s="12"/>
    </row>
    <row r="92" spans="1:6" x14ac:dyDescent="0.25">
      <c r="A92" s="2" t="s">
        <v>79</v>
      </c>
      <c r="B92" s="13">
        <v>3560.23</v>
      </c>
      <c r="C92" s="13">
        <f>4075</f>
        <v>4075</v>
      </c>
      <c r="D92" s="13">
        <v>4075</v>
      </c>
      <c r="E92" s="28">
        <f t="shared" si="4"/>
        <v>0</v>
      </c>
      <c r="F92" s="16"/>
    </row>
    <row r="93" spans="1:6" x14ac:dyDescent="0.25">
      <c r="A93" s="2" t="s">
        <v>80</v>
      </c>
      <c r="B93" s="13">
        <v>448.18</v>
      </c>
      <c r="C93" s="13">
        <f>650</f>
        <v>650</v>
      </c>
      <c r="D93" s="13">
        <v>650</v>
      </c>
      <c r="E93" s="28">
        <f t="shared" si="4"/>
        <v>0</v>
      </c>
      <c r="F93" s="16"/>
    </row>
    <row r="94" spans="1:6" x14ac:dyDescent="0.25">
      <c r="A94" s="2" t="s">
        <v>81</v>
      </c>
      <c r="B94" s="14">
        <v>4008.41</v>
      </c>
      <c r="C94" s="14">
        <f>(C92)+(C93)</f>
        <v>4725</v>
      </c>
      <c r="D94" s="14">
        <f>(D92)+(D93)</f>
        <v>4725</v>
      </c>
      <c r="E94" s="28">
        <f t="shared" si="4"/>
        <v>0</v>
      </c>
      <c r="F94" s="23"/>
    </row>
    <row r="95" spans="1:6" x14ac:dyDescent="0.25">
      <c r="A95" s="2" t="s">
        <v>82</v>
      </c>
      <c r="B95" s="14">
        <v>-4008.41</v>
      </c>
      <c r="C95" s="14">
        <f>(0)-(C94)</f>
        <v>-4725</v>
      </c>
      <c r="D95" s="14">
        <f>(0)-(D94)</f>
        <v>-4725</v>
      </c>
      <c r="E95" s="28">
        <f t="shared" si="4"/>
        <v>0</v>
      </c>
      <c r="F95" s="23"/>
    </row>
    <row r="96" spans="1:6" ht="15.75" thickBot="1" x14ac:dyDescent="0.3">
      <c r="A96" s="2" t="s">
        <v>83</v>
      </c>
      <c r="B96" s="15">
        <v>68189.320000000007</v>
      </c>
      <c r="C96" s="15">
        <f>(C90)+(C95)</f>
        <v>0</v>
      </c>
      <c r="D96" s="15">
        <f>(D90)+(D95)</f>
        <v>0</v>
      </c>
      <c r="E96" s="29">
        <f t="shared" si="4"/>
        <v>0</v>
      </c>
      <c r="F96" s="24" t="str">
        <f>IF(C96=0,"",(B96)/(C96))</f>
        <v/>
      </c>
    </row>
    <row r="97" spans="1:6" x14ac:dyDescent="0.25">
      <c r="A97" s="2"/>
      <c r="B97" s="3"/>
      <c r="C97" s="3"/>
      <c r="D97" s="3"/>
      <c r="E97" s="3"/>
    </row>
    <row r="100" spans="1:6" s="10" customFormat="1" x14ac:dyDescent="0.25">
      <c r="A100" s="30"/>
      <c r="B100" s="19"/>
      <c r="C100" s="19"/>
      <c r="D100" s="19"/>
      <c r="E100" s="19"/>
      <c r="F100" s="22"/>
    </row>
  </sheetData>
  <mergeCells count="3">
    <mergeCell ref="B9:E9"/>
    <mergeCell ref="A2:F2"/>
    <mergeCell ref="A3:F3"/>
  </mergeCells>
  <pageMargins left="0.25" right="0.25" top="0.75" bottom="0.75" header="0.3" footer="0.3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86735AE7458149BAFA3CC050D60A26" ma:contentTypeVersion="13" ma:contentTypeDescription="Create a new document." ma:contentTypeScope="" ma:versionID="7b7d0bef3dc0cc8d438780930ca32f6d">
  <xsd:schema xmlns:xsd="http://www.w3.org/2001/XMLSchema" xmlns:xs="http://www.w3.org/2001/XMLSchema" xmlns:p="http://schemas.microsoft.com/office/2006/metadata/properties" xmlns:ns3="43d771e7-b9a9-4d2f-9848-081b9ec72005" xmlns:ns4="eac523a2-ac3c-4ac4-a8b5-f1bd41ef8429" targetNamespace="http://schemas.microsoft.com/office/2006/metadata/properties" ma:root="true" ma:fieldsID="3ab9ad7feef798544a2d57301eb80326" ns3:_="" ns4:_="">
    <xsd:import namespace="43d771e7-b9a9-4d2f-9848-081b9ec72005"/>
    <xsd:import namespace="eac523a2-ac3c-4ac4-a8b5-f1bd41ef84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d771e7-b9a9-4d2f-9848-081b9ec720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523a2-ac3c-4ac4-a8b5-f1bd41ef8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D1C078-30FF-4780-B0A0-AE77096B8847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43d771e7-b9a9-4d2f-9848-081b9ec72005"/>
    <ds:schemaRef ds:uri="eac523a2-ac3c-4ac4-a8b5-f1bd41ef8429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EADC82E-308A-46CD-A5CC-6978D4E143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5A0CC5-96F6-4851-9010-30A9590D5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d771e7-b9a9-4d2f-9848-081b9ec72005"/>
    <ds:schemaRef ds:uri="eac523a2-ac3c-4ac4-a8b5-f1bd41ef8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Kempton Presley</cp:lastModifiedBy>
  <cp:lastPrinted>2020-03-10T18:23:08Z</cp:lastPrinted>
  <dcterms:created xsi:type="dcterms:W3CDTF">2020-02-05T03:01:40Z</dcterms:created>
  <dcterms:modified xsi:type="dcterms:W3CDTF">2020-03-12T00:12:59Z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0x010100DC86735AE7458149BAFA3CC050D60A26</vt:lpwstr>
  </property>
</Properties>
</file>